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uqyyuan1\Dropbox\BAJC-Final-Data\Proposals-2019\01 Call-for-Proposals\Released\"/>
    </mc:Choice>
  </mc:AlternateContent>
  <bookViews>
    <workbookView xWindow="975" yWindow="465" windowWidth="26175" windowHeight="17325"/>
  </bookViews>
  <sheets>
    <sheet name="BA190XX" sheetId="2" r:id="rId1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0" i="2" l="1"/>
  <c r="D11" i="2"/>
  <c r="E14" i="2"/>
  <c r="E19" i="2"/>
  <c r="F14" i="2"/>
  <c r="F19" i="2" s="1"/>
  <c r="G6" i="2"/>
  <c r="G7" i="2"/>
  <c r="G8" i="2"/>
  <c r="G9" i="2"/>
  <c r="G10" i="2"/>
  <c r="G11" i="2"/>
  <c r="G12" i="2"/>
  <c r="G45" i="2"/>
  <c r="D45" i="2"/>
  <c r="D48" i="2" s="1"/>
  <c r="D53" i="2" s="1"/>
  <c r="G28" i="2"/>
  <c r="D28" i="2"/>
  <c r="D27" i="2"/>
  <c r="D31" i="2" s="1"/>
  <c r="D36" i="2" s="1"/>
  <c r="D44" i="2"/>
  <c r="G44" i="2"/>
  <c r="G43" i="2"/>
  <c r="G42" i="2"/>
  <c r="G41" i="2"/>
  <c r="G40" i="2"/>
  <c r="G27" i="2"/>
  <c r="G26" i="2"/>
  <c r="G25" i="2"/>
  <c r="G24" i="2"/>
  <c r="G23" i="2"/>
  <c r="E48" i="2"/>
  <c r="E53" i="2" s="1"/>
  <c r="F48" i="2"/>
  <c r="F53" i="2" s="1"/>
  <c r="E31" i="2"/>
  <c r="E36" i="2"/>
  <c r="F31" i="2"/>
  <c r="F36" i="2" s="1"/>
  <c r="G48" i="2" l="1"/>
  <c r="G53" i="2" s="1"/>
  <c r="G55" i="2" s="1"/>
  <c r="E55" i="2"/>
  <c r="G31" i="2"/>
  <c r="G36" i="2" s="1"/>
  <c r="G14" i="2"/>
  <c r="G19" i="2" s="1"/>
  <c r="D14" i="2"/>
  <c r="D19" i="2" s="1"/>
  <c r="F55" i="2"/>
  <c r="D55" i="2"/>
  <c r="F56" i="2" l="1"/>
  <c r="D56" i="2"/>
</calcChain>
</file>

<file path=xl/sharedStrings.xml><?xml version="1.0" encoding="utf-8"?>
<sst xmlns="http://schemas.openxmlformats.org/spreadsheetml/2006/main" count="61" uniqueCount="35">
  <si>
    <t>YEAR 1</t>
  </si>
  <si>
    <t>description</t>
  </si>
  <si>
    <t>cash</t>
  </si>
  <si>
    <t>in-kind</t>
  </si>
  <si>
    <t>YEAR 1  TOTAL</t>
  </si>
  <si>
    <t>MAX CAP</t>
  </si>
  <si>
    <t>YEAR 2</t>
  </si>
  <si>
    <t>YEAR 2  TOTAL</t>
  </si>
  <si>
    <t>YEAR 3</t>
  </si>
  <si>
    <t>YEAR 3  TOTAL</t>
  </si>
  <si>
    <t>Title:</t>
  </si>
  <si>
    <t>1) Personnel</t>
  </si>
  <si>
    <t>3) Consumables</t>
  </si>
  <si>
    <t>4) Travel</t>
  </si>
  <si>
    <t>5) Other</t>
  </si>
  <si>
    <t>PI- Name 4 @0.05FTE</t>
  </si>
  <si>
    <t>CI- Name1 @0.2FTE</t>
  </si>
  <si>
    <t>CI- Name 2 @0.2FTE</t>
  </si>
  <si>
    <t>CI- Name 3 @0.2FTE</t>
  </si>
  <si>
    <t>BAJC Postdoctoral RF@1.0FTE</t>
  </si>
  <si>
    <t>BAJC RT@0.0FTE</t>
  </si>
  <si>
    <t>BAJC (Baosteel)</t>
  </si>
  <si>
    <t>3) Travel</t>
  </si>
  <si>
    <t>SUB TOTAL</t>
  </si>
  <si>
    <t>PROPORTION, %</t>
  </si>
  <si>
    <t>PROJECT TOTAL</t>
  </si>
  <si>
    <t>2) Equipment/Facility</t>
  </si>
  <si>
    <t>BAJC RA @0.2FTE</t>
  </si>
  <si>
    <t>BAJC RA @0.1FTE</t>
  </si>
  <si>
    <t>CI- Name 1 @0.2FTE</t>
  </si>
  <si>
    <t>1x BAJC PhD Scolarship(s)</t>
  </si>
  <si>
    <t>1 x BAJC PhD Scolarship(s)</t>
  </si>
  <si>
    <r>
      <rPr>
        <b/>
        <sz val="10"/>
        <color theme="1"/>
        <rFont val="Arial Narrow"/>
        <family val="2"/>
      </rPr>
      <t>BAJC Project ID:</t>
    </r>
    <r>
      <rPr>
        <sz val="10"/>
        <color theme="1"/>
        <rFont val="Arial Narrow"/>
        <family val="2"/>
      </rPr>
      <t xml:space="preserve"> BA190XX</t>
    </r>
  </si>
  <si>
    <t>Project title here</t>
  </si>
  <si>
    <t>Participanting Institute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</si>
</sst>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name val="Arial Narrow"/>
      <family val="2"/>
    </font>
    <font>
      <sz val="10"/>
      <color theme="1" tint="0.499984740745262"/>
      <name val="Arial Narrow"/>
      <family val="2"/>
    </font>
    <font>
      <b/>
      <sz val="11"/>
      <color theme="1"/>
      <name val="Arial Narrow"/>
      <family val="2"/>
    </font>
    <font>
      <b/>
      <i/>
      <sz val="10"/>
      <color theme="1"/>
      <name val="Arial Narrow"/>
      <family val="2"/>
    </font>
    <font>
      <sz val="11"/>
      <name val="Arial Narrow"/>
      <family val="2"/>
    </font>
    <font>
      <b/>
      <sz val="1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3" fillId="3" borderId="2" xfId="0" applyFont="1" applyFill="1" applyBorder="1"/>
    <xf numFmtId="0" fontId="2" fillId="0" borderId="2" xfId="0" applyFont="1" applyBorder="1"/>
    <xf numFmtId="0" fontId="0" fillId="0" borderId="0" xfId="0" applyFill="1"/>
    <xf numFmtId="0" fontId="3" fillId="0" borderId="2" xfId="0" applyFont="1" applyFill="1" applyBorder="1"/>
    <xf numFmtId="3" fontId="4" fillId="0" borderId="0" xfId="0" applyNumberFormat="1" applyFont="1" applyFill="1" applyBorder="1"/>
    <xf numFmtId="0" fontId="0" fillId="0" borderId="2" xfId="0" applyBorder="1"/>
    <xf numFmtId="0" fontId="0" fillId="0" borderId="0" xfId="0" applyBorder="1"/>
    <xf numFmtId="0" fontId="0" fillId="0" borderId="1" xfId="0" applyBorder="1"/>
    <xf numFmtId="0" fontId="3" fillId="0" borderId="8" xfId="0" applyFont="1" applyBorder="1"/>
    <xf numFmtId="1" fontId="3" fillId="0" borderId="9" xfId="0" applyNumberFormat="1" applyFont="1" applyBorder="1"/>
    <xf numFmtId="0" fontId="3" fillId="0" borderId="0" xfId="0" applyFont="1"/>
    <xf numFmtId="3" fontId="0" fillId="0" borderId="0" xfId="0" applyNumberFormat="1" applyFill="1" applyBorder="1"/>
    <xf numFmtId="0" fontId="5" fillId="0" borderId="0" xfId="0" applyFont="1" applyBorder="1"/>
    <xf numFmtId="3" fontId="5" fillId="0" borderId="0" xfId="0" applyNumberFormat="1" applyFont="1" applyBorder="1"/>
    <xf numFmtId="0" fontId="5" fillId="0" borderId="0" xfId="0" applyFont="1"/>
    <xf numFmtId="0" fontId="2" fillId="2" borderId="0" xfId="0" applyFont="1" applyFill="1" applyBorder="1" applyAlignment="1"/>
    <xf numFmtId="3" fontId="2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center"/>
    </xf>
    <xf numFmtId="3" fontId="1" fillId="0" borderId="0" xfId="0" applyNumberFormat="1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0" fontId="7" fillId="0" borderId="2" xfId="0" applyFont="1" applyFill="1" applyBorder="1"/>
    <xf numFmtId="3" fontId="3" fillId="0" borderId="2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/>
    <xf numFmtId="3" fontId="6" fillId="0" borderId="0" xfId="0" applyNumberFormat="1" applyFont="1" applyFill="1" applyBorder="1"/>
    <xf numFmtId="0" fontId="3" fillId="0" borderId="3" xfId="0" applyFont="1" applyFill="1" applyBorder="1"/>
    <xf numFmtId="1" fontId="3" fillId="0" borderId="3" xfId="0" applyNumberFormat="1" applyFont="1" applyFill="1" applyBorder="1"/>
    <xf numFmtId="1" fontId="3" fillId="0" borderId="4" xfId="0" applyNumberFormat="1" applyFont="1" applyFill="1" applyBorder="1"/>
    <xf numFmtId="0" fontId="4" fillId="0" borderId="2" xfId="0" applyFont="1" applyFill="1" applyBorder="1"/>
    <xf numFmtId="1" fontId="4" fillId="0" borderId="2" xfId="0" applyNumberFormat="1" applyFont="1" applyFill="1" applyBorder="1"/>
    <xf numFmtId="1" fontId="4" fillId="0" borderId="1" xfId="0" applyNumberFormat="1" applyFont="1" applyFill="1" applyBorder="1"/>
    <xf numFmtId="3" fontId="8" fillId="0" borderId="0" xfId="0" applyNumberFormat="1" applyFont="1" applyFill="1" applyBorder="1"/>
    <xf numFmtId="0" fontId="4" fillId="3" borderId="2" xfId="0" applyFont="1" applyFill="1" applyBorder="1"/>
    <xf numFmtId="1" fontId="4" fillId="3" borderId="2" xfId="0" applyNumberFormat="1" applyFont="1" applyFill="1" applyBorder="1"/>
    <xf numFmtId="1" fontId="4" fillId="3" borderId="1" xfId="0" applyNumberFormat="1" applyFont="1" applyFill="1" applyBorder="1"/>
    <xf numFmtId="0" fontId="9" fillId="0" borderId="2" xfId="0" applyFont="1" applyFill="1" applyBorder="1"/>
    <xf numFmtId="1" fontId="2" fillId="0" borderId="2" xfId="0" applyNumberFormat="1" applyFont="1" applyBorder="1"/>
    <xf numFmtId="1" fontId="2" fillId="0" borderId="1" xfId="0" applyNumberFormat="1" applyFont="1" applyBorder="1"/>
    <xf numFmtId="1" fontId="2" fillId="3" borderId="1" xfId="0" applyNumberFormat="1" applyFont="1" applyFill="1" applyBorder="1"/>
    <xf numFmtId="1" fontId="2" fillId="3" borderId="2" xfId="0" applyNumberFormat="1" applyFont="1" applyFill="1" applyBorder="1"/>
    <xf numFmtId="1" fontId="4" fillId="0" borderId="0" xfId="0" applyNumberFormat="1" applyFont="1" applyFill="1" applyBorder="1"/>
    <xf numFmtId="1" fontId="2" fillId="3" borderId="0" xfId="0" applyNumberFormat="1" applyFont="1" applyFill="1" applyBorder="1"/>
    <xf numFmtId="0" fontId="9" fillId="4" borderId="2" xfId="0" applyFont="1" applyFill="1" applyBorder="1"/>
    <xf numFmtId="1" fontId="9" fillId="4" borderId="2" xfId="0" applyNumberFormat="1" applyFont="1" applyFill="1" applyBorder="1"/>
    <xf numFmtId="1" fontId="9" fillId="4" borderId="1" xfId="0" applyNumberFormat="1" applyFont="1" applyFill="1" applyBorder="1"/>
    <xf numFmtId="1" fontId="4" fillId="3" borderId="0" xfId="0" applyNumberFormat="1" applyFont="1" applyFill="1" applyBorder="1"/>
    <xf numFmtId="1" fontId="9" fillId="4" borderId="0" xfId="0" applyNumberFormat="1" applyFont="1" applyFill="1" applyBorder="1"/>
    <xf numFmtId="0" fontId="3" fillId="3" borderId="13" xfId="0" applyFont="1" applyFill="1" applyBorder="1"/>
    <xf numFmtId="3" fontId="3" fillId="0" borderId="1" xfId="0" applyNumberFormat="1" applyFont="1" applyFill="1" applyBorder="1" applyAlignment="1">
      <alignment horizontal="center" vertical="center"/>
    </xf>
    <xf numFmtId="49" fontId="9" fillId="2" borderId="0" xfId="0" applyNumberFormat="1" applyFont="1" applyFill="1" applyBorder="1"/>
    <xf numFmtId="0" fontId="2" fillId="2" borderId="0" xfId="0" applyFont="1" applyFill="1" applyBorder="1"/>
    <xf numFmtId="0" fontId="9" fillId="4" borderId="5" xfId="0" applyFont="1" applyFill="1" applyBorder="1"/>
    <xf numFmtId="1" fontId="9" fillId="4" borderId="5" xfId="0" applyNumberFormat="1" applyFont="1" applyFill="1" applyBorder="1"/>
    <xf numFmtId="1" fontId="9" fillId="4" borderId="7" xfId="0" applyNumberFormat="1" applyFont="1" applyFill="1" applyBorder="1"/>
    <xf numFmtId="1" fontId="9" fillId="4" borderId="6" xfId="0" applyNumberFormat="1" applyFont="1" applyFill="1" applyBorder="1"/>
    <xf numFmtId="0" fontId="2" fillId="0" borderId="10" xfId="0" applyFont="1" applyBorder="1"/>
    <xf numFmtId="2" fontId="2" fillId="0" borderId="11" xfId="0" applyNumberFormat="1" applyFont="1" applyBorder="1"/>
    <xf numFmtId="2" fontId="2" fillId="0" borderId="12" xfId="0" applyNumberFormat="1" applyFont="1" applyBorder="1"/>
    <xf numFmtId="0" fontId="2" fillId="0" borderId="14" xfId="0" applyFont="1" applyBorder="1"/>
    <xf numFmtId="2" fontId="2" fillId="0" borderId="15" xfId="0" applyNumberFormat="1" applyFont="1" applyBorder="1" applyAlignment="1">
      <alignment vertical="center"/>
    </xf>
    <xf numFmtId="1" fontId="3" fillId="0" borderId="17" xfId="0" applyNumberFormat="1" applyFont="1" applyBorder="1"/>
    <xf numFmtId="2" fontId="2" fillId="0" borderId="16" xfId="0" applyNumberFormat="1" applyFont="1" applyBorder="1" applyAlignment="1">
      <alignment vertical="center"/>
    </xf>
    <xf numFmtId="3" fontId="3" fillId="0" borderId="3" xfId="0" applyNumberFormat="1" applyFont="1" applyFill="1" applyBorder="1" applyAlignment="1">
      <alignment horizontal="center"/>
    </xf>
    <xf numFmtId="3" fontId="3" fillId="0" borderId="4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677333</xdr:colOff>
      <xdr:row>3</xdr:row>
      <xdr:rowOff>6349</xdr:rowOff>
    </xdr:from>
    <xdr:to>
      <xdr:col>18</xdr:col>
      <xdr:colOff>186266</xdr:colOff>
      <xdr:row>50</xdr:row>
      <xdr:rowOff>25400</xdr:rowOff>
    </xdr:to>
    <xdr:sp macro="" textlink="">
      <xdr:nvSpPr>
        <xdr:cNvPr id="2" name="TextBox 1"/>
        <xdr:cNvSpPr txBox="1"/>
      </xdr:nvSpPr>
      <xdr:spPr>
        <a:xfrm>
          <a:off x="10066866" y="361949"/>
          <a:ext cx="5604933" cy="8375651"/>
        </a:xfrm>
        <a:prstGeom prst="rect">
          <a:avLst/>
        </a:prstGeom>
        <a:solidFill>
          <a:schemeClr val="lt1"/>
        </a:solidFill>
        <a:ln w="158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Instructions for use</a:t>
          </a:r>
          <a:r>
            <a:rPr 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of this budget template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: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1)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Please refer to the 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Project Proposal Guidelines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and 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Instructions for Applications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to prepare the budget.  The budget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template here  contains only very primitive embedded formula as examples.  It calculates your budget, grouped by Year 1, Year 2 and Year 3.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The template includes sample data as example only. You should modify or remove these data to fit your project’s requirements.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D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o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not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change the general format of the worksheet.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Please</a:t>
          </a:r>
          <a:r>
            <a:rPr lang="en-US" sz="1100" b="0">
              <a:solidFill>
                <a:schemeClr val="dk1"/>
              </a:solidFill>
              <a:latin typeface="+mn-lt"/>
              <a:ea typeface="+mn-ea"/>
              <a:cs typeface="+mn-cs"/>
            </a:rPr>
            <a:t> familiarize yourself with the formula by clicking</a:t>
          </a:r>
          <a:r>
            <a:rPr lang="en-U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 on  cells with data, in particular, the </a:t>
          </a:r>
          <a:r>
            <a:rPr lang="en-US" sz="1100" b="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multipliers</a:t>
          </a:r>
          <a:r>
            <a:rPr lang="en-U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 in the foumula </a:t>
          </a: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2)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Add your 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Project ID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and 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Project Title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in designated reference fields located in the first row of this Worksheet.</a:t>
          </a: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3)</a:t>
          </a:r>
          <a:r>
            <a:rPr 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Re-name the tab name of this worksheet with your </a:t>
          </a:r>
          <a:r>
            <a:rPr 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Project ID</a:t>
          </a:r>
          <a:r>
            <a:rPr lang="en-U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  <a:r>
            <a:rPr 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en-US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n-US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>
            <a:spcAft>
              <a:spcPts val="600"/>
            </a:spcAft>
          </a:pP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4)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There are guidelines of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personnel 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salaries: </a:t>
          </a:r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l"/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a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) BAJC Postdoctoral Research Fellowships at </a:t>
          </a:r>
          <a:r>
            <a:rPr lang="en-US" sz="1100">
              <a:solidFill>
                <a:srgbClr val="FF0000"/>
              </a:solidFill>
              <a:latin typeface="+mn-lt"/>
              <a:ea typeface="+mn-ea"/>
              <a:cs typeface="+mn-cs"/>
            </a:rPr>
            <a:t>A$78,481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p.a. base salary;</a:t>
          </a:r>
        </a:p>
        <a:p>
          <a:pPr algn="l"/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b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) BAJC Research Assistants up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to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rgbClr val="FF0000"/>
              </a:solidFill>
              <a:latin typeface="+mn-lt"/>
              <a:ea typeface="+mn-ea"/>
              <a:cs typeface="+mn-cs"/>
            </a:rPr>
            <a:t>A$67,608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p.abase salary ;</a:t>
          </a:r>
        </a:p>
        <a:p>
          <a:pPr algn="l"/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c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) BAJC Research Technicians up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to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rgbClr val="FF0000"/>
              </a:solidFill>
              <a:latin typeface="+mn-lt"/>
              <a:ea typeface="+mn-ea"/>
              <a:cs typeface="+mn-cs"/>
            </a:rPr>
            <a:t>A$67,608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p.a. base salary ;</a:t>
          </a:r>
        </a:p>
        <a:p>
          <a:pPr algn="l"/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d)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BAJC PhD scholarships at </a:t>
          </a:r>
          <a:r>
            <a:rPr lang="en-US" sz="1100">
              <a:solidFill>
                <a:srgbClr val="FF0000"/>
              </a:solidFill>
              <a:latin typeface="+mn-lt"/>
              <a:ea typeface="+mn-ea"/>
              <a:cs typeface="+mn-cs"/>
            </a:rPr>
            <a:t>A$30,000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p.a. </a:t>
          </a: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</a:p>
        <a:p>
          <a:pPr>
            <a:spcAft>
              <a:spcPts val="600"/>
            </a:spcAft>
          </a:pP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5)  </a:t>
          </a:r>
          <a:r>
            <a:rPr lang="en-US" sz="1100" b="0">
              <a:solidFill>
                <a:schemeClr val="dk1"/>
              </a:solidFill>
              <a:latin typeface="+mn-lt"/>
              <a:ea typeface="+mn-ea"/>
              <a:cs typeface="+mn-cs"/>
            </a:rPr>
            <a:t>A</a:t>
          </a:r>
          <a:r>
            <a:rPr lang="en-U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 suggested</a:t>
          </a:r>
          <a:r>
            <a:rPr lang="en-US" sz="1100" b="0">
              <a:solidFill>
                <a:schemeClr val="dk1"/>
              </a:solidFill>
              <a:latin typeface="+mn-lt"/>
              <a:ea typeface="+mn-ea"/>
              <a:cs typeface="+mn-cs"/>
            </a:rPr>
            <a:t> way to fill in the worksheet:</a:t>
          </a:r>
          <a:endParaRPr lang="en-US" sz="1100" b="0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    a)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 b="0">
              <a:solidFill>
                <a:schemeClr val="dk1"/>
              </a:solidFill>
              <a:latin typeface="+mn-lt"/>
              <a:ea typeface="+mn-ea"/>
              <a:cs typeface="+mn-cs"/>
            </a:rPr>
            <a:t>Remove</a:t>
          </a:r>
          <a:r>
            <a:rPr lang="en-U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sample data first. </a:t>
          </a: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b</a:t>
          </a:r>
          <a:r>
            <a:rPr lang="en-US" sz="1100" b="0">
              <a:solidFill>
                <a:schemeClr val="dk1"/>
              </a:solidFill>
              <a:latin typeface="+mn-lt"/>
              <a:ea typeface="+mn-ea"/>
              <a:cs typeface="+mn-cs"/>
            </a:rPr>
            <a:t>)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Replace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names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of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CIs and/or PIs in short in 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Description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column.  </a:t>
          </a: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    c)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Add more rows if needed,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adjust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the FTE factors,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delete the rows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if any of these personnel is not applicable.</a:t>
          </a:r>
        </a:p>
        <a:p>
          <a:endParaRPr lang="en-US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6)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After complete the worksheet with all required data, please double check all data for SUB TOTAL,  YEAR TOTAL and PROJECT TOTAL.  </a:t>
          </a:r>
        </a:p>
        <a:p>
          <a:endParaRPr lang="en-US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7)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Copy this budget sheet by each individual year and paste to the Section 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C1 BUDGET SUMMARY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of your 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Application Form 2019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.</a:t>
          </a:r>
        </a:p>
        <a:p>
          <a:pPr lvl="0"/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lvl="0"/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8)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If proportion of cash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and in-kind contributions from Baosteel is less that 50%, a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Max CAP of 50% is 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applied according to BAJC Agreement with Baosteel.  In this case, all participating Universities and other participating organisations will share the remaining 50%.</a:t>
          </a:r>
        </a:p>
        <a:p>
          <a:pPr lvl="0"/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lvl="0"/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9) </a:t>
          </a:r>
          <a:r>
            <a:rPr lang="en-US" sz="1100" b="0">
              <a:solidFill>
                <a:schemeClr val="dk1"/>
              </a:solidFill>
              <a:latin typeface="+mn-lt"/>
              <a:ea typeface="+mn-ea"/>
              <a:cs typeface="+mn-cs"/>
            </a:rPr>
            <a:t>Same</a:t>
          </a:r>
          <a:r>
            <a:rPr lang="en-U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this Excel file named </a:t>
          </a:r>
          <a:r>
            <a:rPr lang="en-US" sz="1100">
              <a:solidFill>
                <a:schemeClr val="accent6">
                  <a:lumMod val="75000"/>
                </a:schemeClr>
              </a:solidFill>
              <a:latin typeface="+mn-lt"/>
              <a:ea typeface="+mn-ea"/>
              <a:cs typeface="+mn-cs"/>
            </a:rPr>
            <a:t>Budget-[Project ID].xlsx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and submit it with your completed 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Application Form 2019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to </a:t>
          </a:r>
          <a:r>
            <a:rPr lang="en-US" sz="1100" u="sng">
              <a:solidFill>
                <a:schemeClr val="dk1"/>
              </a:solidFill>
              <a:latin typeface="+mn-lt"/>
              <a:ea typeface="+mn-ea"/>
              <a:cs typeface="+mn-cs"/>
              <a:hlinkClick xmlns:r="http://schemas.openxmlformats.org/officeDocument/2006/relationships" r:id=""/>
            </a:rPr>
            <a:t>admin@bajc.org.au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2:N61"/>
  <sheetViews>
    <sheetView tabSelected="1" workbookViewId="0">
      <selection activeCell="Z12" sqref="Z12"/>
    </sheetView>
  </sheetViews>
  <sheetFormatPr defaultColWidth="8.85546875" defaultRowHeight="15" x14ac:dyDescent="0.25"/>
  <cols>
    <col min="1" max="2" width="4.42578125" customWidth="1"/>
    <col min="3" max="3" width="30.7109375" customWidth="1"/>
    <col min="4" max="4" width="11.7109375" customWidth="1"/>
    <col min="5" max="5" width="11.85546875" customWidth="1"/>
    <col min="6" max="6" width="10.42578125" customWidth="1"/>
    <col min="7" max="7" width="19.140625" customWidth="1"/>
    <col min="18" max="18" width="8.85546875" customWidth="1"/>
  </cols>
  <sheetData>
    <row r="2" spans="1:14" x14ac:dyDescent="0.25">
      <c r="A2" s="7"/>
      <c r="B2" s="7"/>
      <c r="C2" s="50" t="s">
        <v>32</v>
      </c>
      <c r="D2" s="49" t="s">
        <v>10</v>
      </c>
      <c r="E2" s="50" t="s">
        <v>33</v>
      </c>
      <c r="F2" s="16"/>
      <c r="G2" s="16"/>
      <c r="H2" s="17"/>
      <c r="I2" s="12"/>
      <c r="J2" s="12"/>
      <c r="K2" s="12"/>
      <c r="L2" s="12"/>
      <c r="M2" s="3"/>
      <c r="N2" s="3"/>
    </row>
    <row r="3" spans="1:14" ht="16.5" x14ac:dyDescent="0.3">
      <c r="C3" s="47" t="s">
        <v>0</v>
      </c>
      <c r="D3" s="62" t="s">
        <v>21</v>
      </c>
      <c r="E3" s="63"/>
      <c r="F3" s="62" t="s">
        <v>34</v>
      </c>
      <c r="G3" s="63"/>
      <c r="H3" s="18"/>
      <c r="I3" s="19"/>
      <c r="J3" s="19"/>
      <c r="K3" s="20"/>
      <c r="L3" s="20"/>
      <c r="M3" s="3"/>
      <c r="N3" s="3"/>
    </row>
    <row r="4" spans="1:14" ht="16.5" x14ac:dyDescent="0.3">
      <c r="C4" s="21" t="s">
        <v>1</v>
      </c>
      <c r="D4" s="22" t="s">
        <v>2</v>
      </c>
      <c r="E4" s="48" t="s">
        <v>3</v>
      </c>
      <c r="F4" s="22" t="s">
        <v>2</v>
      </c>
      <c r="G4" s="48" t="s">
        <v>3</v>
      </c>
      <c r="H4" s="23"/>
      <c r="I4" s="24"/>
      <c r="J4" s="24"/>
      <c r="K4" s="24"/>
      <c r="L4" s="24"/>
      <c r="M4" s="3"/>
      <c r="N4" s="3"/>
    </row>
    <row r="5" spans="1:14" ht="16.5" x14ac:dyDescent="0.3">
      <c r="C5" s="25" t="s">
        <v>11</v>
      </c>
      <c r="D5" s="26"/>
      <c r="E5" s="27"/>
      <c r="F5" s="26"/>
      <c r="G5" s="27"/>
      <c r="H5" s="23"/>
      <c r="I5" s="24"/>
      <c r="J5" s="24"/>
      <c r="K5" s="24"/>
      <c r="L5" s="24"/>
      <c r="M5" s="3"/>
      <c r="N5" s="3"/>
    </row>
    <row r="6" spans="1:14" ht="16.5" x14ac:dyDescent="0.3">
      <c r="C6" s="28" t="s">
        <v>29</v>
      </c>
      <c r="D6" s="29"/>
      <c r="E6" s="30"/>
      <c r="F6" s="29"/>
      <c r="G6" s="30">
        <f>0.2*151736*2.99</f>
        <v>90738.128000000012</v>
      </c>
      <c r="H6" s="5"/>
      <c r="I6" s="31"/>
      <c r="J6" s="31"/>
      <c r="K6" s="31"/>
      <c r="L6" s="31"/>
      <c r="M6" s="3"/>
      <c r="N6" s="3"/>
    </row>
    <row r="7" spans="1:14" ht="16.5" x14ac:dyDescent="0.3">
      <c r="C7" s="28" t="s">
        <v>17</v>
      </c>
      <c r="D7" s="29"/>
      <c r="E7" s="30"/>
      <c r="F7" s="29"/>
      <c r="G7" s="30">
        <f>0.2*151736*2.99</f>
        <v>90738.128000000012</v>
      </c>
      <c r="H7" s="5"/>
      <c r="I7" s="31"/>
      <c r="J7" s="31"/>
      <c r="K7" s="31"/>
      <c r="L7" s="31"/>
      <c r="M7" s="3"/>
      <c r="N7" s="3"/>
    </row>
    <row r="8" spans="1:14" ht="16.5" x14ac:dyDescent="0.3">
      <c r="C8" s="28" t="s">
        <v>18</v>
      </c>
      <c r="D8" s="29"/>
      <c r="E8" s="30"/>
      <c r="F8" s="29"/>
      <c r="G8" s="30">
        <f>0.2*117795*2.99</f>
        <v>70441.41</v>
      </c>
      <c r="H8" s="5"/>
      <c r="I8" s="31"/>
      <c r="J8" s="31"/>
      <c r="K8" s="31"/>
      <c r="L8" s="31"/>
      <c r="M8" s="3"/>
      <c r="N8" s="3"/>
    </row>
    <row r="9" spans="1:14" ht="16.5" x14ac:dyDescent="0.3">
      <c r="C9" s="28" t="s">
        <v>15</v>
      </c>
      <c r="D9" s="29"/>
      <c r="E9" s="30"/>
      <c r="F9" s="29"/>
      <c r="G9" s="30">
        <f>0.05*93380*2.99</f>
        <v>13960.310000000001</v>
      </c>
      <c r="H9" s="5"/>
      <c r="I9" s="31"/>
      <c r="J9" s="31"/>
      <c r="K9" s="31"/>
      <c r="L9" s="31"/>
      <c r="M9" s="3"/>
      <c r="N9" s="3"/>
    </row>
    <row r="10" spans="1:14" ht="16.5" x14ac:dyDescent="0.3">
      <c r="C10" s="28" t="s">
        <v>19</v>
      </c>
      <c r="D10" s="29">
        <f>1*66406*1.69</f>
        <v>112226.14</v>
      </c>
      <c r="E10" s="30"/>
      <c r="F10" s="29"/>
      <c r="G10" s="30">
        <f>1*66406*1.3</f>
        <v>86327.8</v>
      </c>
      <c r="H10" s="5"/>
      <c r="I10" s="31"/>
      <c r="J10" s="31"/>
      <c r="K10" s="31"/>
      <c r="L10" s="31"/>
      <c r="M10" s="3"/>
      <c r="N10" s="3"/>
    </row>
    <row r="11" spans="1:14" ht="16.5" x14ac:dyDescent="0.3">
      <c r="C11" s="28" t="s">
        <v>27</v>
      </c>
      <c r="D11" s="29">
        <f>0.2*60000*1.69</f>
        <v>20280</v>
      </c>
      <c r="E11" s="30"/>
      <c r="F11" s="29"/>
      <c r="G11" s="30">
        <f>0.2*60000*1.3</f>
        <v>15600</v>
      </c>
      <c r="H11" s="5"/>
      <c r="I11" s="31"/>
      <c r="J11" s="31"/>
      <c r="K11" s="31"/>
      <c r="L11" s="31"/>
      <c r="M11" s="3"/>
      <c r="N11" s="3"/>
    </row>
    <row r="12" spans="1:14" ht="16.5" x14ac:dyDescent="0.3">
      <c r="C12" s="28" t="s">
        <v>20</v>
      </c>
      <c r="D12" s="6">
        <v>0</v>
      </c>
      <c r="E12" s="30"/>
      <c r="F12" s="40"/>
      <c r="G12" s="30">
        <f>0*60000*1.3</f>
        <v>0</v>
      </c>
      <c r="H12" s="5"/>
      <c r="I12" s="31"/>
      <c r="J12" s="31"/>
      <c r="K12" s="31"/>
      <c r="L12" s="31"/>
      <c r="M12" s="3"/>
      <c r="N12" s="3"/>
    </row>
    <row r="13" spans="1:14" ht="16.5" x14ac:dyDescent="0.3">
      <c r="C13" s="28" t="s">
        <v>30</v>
      </c>
      <c r="D13" s="29">
        <v>30000</v>
      </c>
      <c r="E13" s="8"/>
      <c r="G13" s="30">
        <v>0</v>
      </c>
      <c r="H13" s="5"/>
      <c r="I13" s="31"/>
      <c r="J13" s="31"/>
      <c r="K13" s="31"/>
      <c r="L13" s="31"/>
      <c r="M13" s="3"/>
      <c r="N13" s="3"/>
    </row>
    <row r="14" spans="1:14" ht="16.5" x14ac:dyDescent="0.3">
      <c r="C14" s="32" t="s">
        <v>23</v>
      </c>
      <c r="D14" s="33">
        <f>SUM(D6:D13)</f>
        <v>162506.14000000001</v>
      </c>
      <c r="E14" s="45">
        <f t="shared" ref="E14:F14" si="0">SUM(E6:E13)</f>
        <v>0</v>
      </c>
      <c r="F14" s="33">
        <f t="shared" si="0"/>
        <v>0</v>
      </c>
      <c r="G14" s="34">
        <f>SUM(G6:G13)</f>
        <v>367805.77600000001</v>
      </c>
      <c r="H14" s="5"/>
      <c r="I14" s="31"/>
      <c r="J14" s="31"/>
      <c r="K14" s="31"/>
      <c r="L14" s="31"/>
      <c r="M14" s="3"/>
      <c r="N14" s="3"/>
    </row>
    <row r="15" spans="1:14" ht="16.5" x14ac:dyDescent="0.3">
      <c r="C15" s="35" t="s">
        <v>26</v>
      </c>
      <c r="D15" s="29">
        <v>0</v>
      </c>
      <c r="E15" s="30"/>
      <c r="F15" s="29"/>
      <c r="G15" s="30">
        <v>10000</v>
      </c>
      <c r="H15" s="5"/>
      <c r="I15" s="31"/>
      <c r="J15" s="31"/>
      <c r="K15" s="31"/>
      <c r="L15" s="31"/>
      <c r="M15" s="3"/>
      <c r="N15" s="3"/>
    </row>
    <row r="16" spans="1:14" ht="16.5" x14ac:dyDescent="0.3">
      <c r="C16" s="35" t="s">
        <v>12</v>
      </c>
      <c r="D16" s="29">
        <v>2600</v>
      </c>
      <c r="E16" s="30"/>
      <c r="F16" s="29"/>
      <c r="G16" s="30"/>
      <c r="H16" s="5"/>
      <c r="I16" s="31"/>
      <c r="J16" s="31"/>
      <c r="K16" s="31"/>
      <c r="L16" s="31"/>
      <c r="M16" s="3"/>
      <c r="N16" s="3"/>
    </row>
    <row r="17" spans="3:14" ht="16.5" x14ac:dyDescent="0.3">
      <c r="C17" s="35" t="s">
        <v>13</v>
      </c>
      <c r="D17" s="29">
        <v>3000</v>
      </c>
      <c r="E17" s="30"/>
      <c r="F17" s="29"/>
      <c r="G17" s="30"/>
      <c r="H17" s="5"/>
      <c r="I17" s="31"/>
      <c r="J17" s="31"/>
      <c r="K17" s="31"/>
      <c r="L17" s="31"/>
      <c r="M17" s="3"/>
      <c r="N17" s="3"/>
    </row>
    <row r="18" spans="3:14" ht="16.5" x14ac:dyDescent="0.3">
      <c r="C18" s="35" t="s">
        <v>14</v>
      </c>
      <c r="D18" s="29">
        <v>0</v>
      </c>
      <c r="E18" s="30">
        <v>150000</v>
      </c>
      <c r="F18" s="29"/>
      <c r="G18" s="30"/>
      <c r="H18" s="5"/>
      <c r="I18" s="31"/>
      <c r="J18" s="31"/>
      <c r="K18" s="31"/>
      <c r="L18" s="31"/>
      <c r="M18" s="3"/>
      <c r="N18" s="3"/>
    </row>
    <row r="19" spans="3:14" ht="16.5" x14ac:dyDescent="0.3">
      <c r="C19" s="42" t="s">
        <v>4</v>
      </c>
      <c r="D19" s="43">
        <f>SUM(D14:D18)</f>
        <v>168106.14</v>
      </c>
      <c r="E19" s="46">
        <f t="shared" ref="E19:G19" si="1">SUM(E14:E18)</f>
        <v>150000</v>
      </c>
      <c r="F19" s="43">
        <f t="shared" si="1"/>
        <v>0</v>
      </c>
      <c r="G19" s="44">
        <f t="shared" si="1"/>
        <v>377805.77600000001</v>
      </c>
      <c r="H19" s="5"/>
      <c r="I19" s="31"/>
      <c r="J19" s="31"/>
      <c r="K19" s="31"/>
      <c r="L19" s="31"/>
      <c r="M19" s="3"/>
      <c r="N19" s="3"/>
    </row>
    <row r="20" spans="3:14" x14ac:dyDescent="0.25">
      <c r="C20" s="2"/>
      <c r="D20" s="36"/>
      <c r="E20" s="37"/>
      <c r="F20" s="36"/>
      <c r="G20" s="37"/>
      <c r="K20" s="3"/>
      <c r="L20" s="3"/>
      <c r="M20" s="3"/>
      <c r="N20" s="3"/>
    </row>
    <row r="21" spans="3:14" x14ac:dyDescent="0.25">
      <c r="C21" s="1" t="s">
        <v>6</v>
      </c>
      <c r="D21" s="36"/>
      <c r="E21" s="37"/>
      <c r="F21" s="36"/>
      <c r="G21" s="37"/>
      <c r="K21" s="3"/>
      <c r="L21" s="3"/>
      <c r="M21" s="3"/>
      <c r="N21" s="3"/>
    </row>
    <row r="22" spans="3:14" x14ac:dyDescent="0.25">
      <c r="C22" s="4" t="s">
        <v>11</v>
      </c>
      <c r="D22" s="36"/>
      <c r="E22" s="37"/>
      <c r="F22" s="36"/>
      <c r="G22" s="37"/>
      <c r="K22" s="3"/>
      <c r="L22" s="3"/>
      <c r="M22" s="3"/>
      <c r="N22" s="3"/>
    </row>
    <row r="23" spans="3:14" x14ac:dyDescent="0.25">
      <c r="C23" s="28" t="s">
        <v>16</v>
      </c>
      <c r="D23" s="29"/>
      <c r="E23" s="37"/>
      <c r="F23" s="36"/>
      <c r="G23" s="30">
        <f>0.2*151736*2.99*1.05</f>
        <v>95275.034400000019</v>
      </c>
      <c r="K23" s="3"/>
      <c r="L23" s="3"/>
      <c r="M23" s="3"/>
      <c r="N23" s="3"/>
    </row>
    <row r="24" spans="3:14" x14ac:dyDescent="0.25">
      <c r="C24" s="28" t="s">
        <v>17</v>
      </c>
      <c r="D24" s="29"/>
      <c r="E24" s="37"/>
      <c r="F24" s="36"/>
      <c r="G24" s="30">
        <f>0.2*151736*2.99*1.05</f>
        <v>95275.034400000019</v>
      </c>
      <c r="K24" s="3"/>
      <c r="L24" s="3"/>
      <c r="M24" s="3"/>
      <c r="N24" s="3"/>
    </row>
    <row r="25" spans="3:14" x14ac:dyDescent="0.25">
      <c r="C25" s="28" t="s">
        <v>18</v>
      </c>
      <c r="D25" s="29"/>
      <c r="E25" s="37"/>
      <c r="F25" s="36"/>
      <c r="G25" s="30">
        <f>0.2*117795*2.99*1.05</f>
        <v>73963.480500000005</v>
      </c>
      <c r="K25" s="3"/>
      <c r="L25" s="3"/>
      <c r="M25" s="3"/>
      <c r="N25" s="3"/>
    </row>
    <row r="26" spans="3:14" x14ac:dyDescent="0.25">
      <c r="C26" s="28" t="s">
        <v>15</v>
      </c>
      <c r="D26" s="29"/>
      <c r="E26" s="37"/>
      <c r="F26" s="36"/>
      <c r="G26" s="30">
        <f>0.05*93380*2.99*1.05</f>
        <v>14658.325500000003</v>
      </c>
      <c r="K26" s="3"/>
      <c r="L26" s="3"/>
      <c r="M26" s="3"/>
      <c r="N26" s="3"/>
    </row>
    <row r="27" spans="3:14" x14ac:dyDescent="0.25">
      <c r="C27" s="28" t="s">
        <v>19</v>
      </c>
      <c r="D27" s="29">
        <f>1*66406*1.69*1.05</f>
        <v>117837.447</v>
      </c>
      <c r="E27" s="30"/>
      <c r="F27" s="29"/>
      <c r="G27" s="30">
        <f>1*66406*1.3*1.05</f>
        <v>90644.19</v>
      </c>
      <c r="K27" s="3"/>
      <c r="L27" s="3"/>
      <c r="M27" s="3"/>
      <c r="N27" s="3"/>
    </row>
    <row r="28" spans="3:14" x14ac:dyDescent="0.25">
      <c r="C28" s="28" t="s">
        <v>28</v>
      </c>
      <c r="D28" s="29">
        <f>0.1*60000*1.69*1.05</f>
        <v>10647</v>
      </c>
      <c r="E28" s="30"/>
      <c r="F28" s="29"/>
      <c r="G28" s="30">
        <f>0.1*60000*1.3</f>
        <v>7800</v>
      </c>
      <c r="K28" s="3"/>
      <c r="L28" s="3"/>
      <c r="M28" s="3"/>
      <c r="N28" s="3"/>
    </row>
    <row r="29" spans="3:14" x14ac:dyDescent="0.25">
      <c r="C29" s="28" t="s">
        <v>20</v>
      </c>
      <c r="D29" s="6">
        <v>0</v>
      </c>
      <c r="E29" s="30"/>
      <c r="F29" s="40"/>
      <c r="G29" s="30">
        <v>0</v>
      </c>
      <c r="K29" s="3"/>
      <c r="L29" s="3"/>
      <c r="M29" s="3"/>
      <c r="N29" s="3"/>
    </row>
    <row r="30" spans="3:14" x14ac:dyDescent="0.25">
      <c r="C30" s="28" t="s">
        <v>31</v>
      </c>
      <c r="D30" s="29">
        <v>30000</v>
      </c>
      <c r="E30" s="8"/>
      <c r="G30" s="30">
        <v>0</v>
      </c>
    </row>
    <row r="31" spans="3:14" ht="16.5" x14ac:dyDescent="0.3">
      <c r="C31" s="32" t="s">
        <v>23</v>
      </c>
      <c r="D31" s="33">
        <f>SUM(D22:D30)</f>
        <v>158484.44699999999</v>
      </c>
      <c r="E31" s="45">
        <f t="shared" ref="E31:G31" si="2">SUM(E22:E30)</f>
        <v>0</v>
      </c>
      <c r="F31" s="33">
        <f t="shared" si="2"/>
        <v>0</v>
      </c>
      <c r="G31" s="34">
        <f t="shared" si="2"/>
        <v>377616.06480000005</v>
      </c>
      <c r="H31" s="5"/>
      <c r="I31" s="31"/>
      <c r="J31" s="31"/>
      <c r="K31" s="31"/>
      <c r="L31" s="31"/>
      <c r="M31" s="3"/>
      <c r="N31" s="3"/>
    </row>
    <row r="32" spans="3:14" x14ac:dyDescent="0.25">
      <c r="C32" s="35" t="s">
        <v>26</v>
      </c>
      <c r="D32" s="29">
        <v>2600</v>
      </c>
      <c r="E32" s="37"/>
      <c r="F32" s="36"/>
      <c r="G32" s="37">
        <v>10000</v>
      </c>
    </row>
    <row r="33" spans="3:14" x14ac:dyDescent="0.25">
      <c r="C33" s="35" t="s">
        <v>12</v>
      </c>
      <c r="D33" s="29">
        <v>2600</v>
      </c>
      <c r="E33" s="37"/>
      <c r="F33" s="36"/>
      <c r="G33" s="37"/>
    </row>
    <row r="34" spans="3:14" x14ac:dyDescent="0.25">
      <c r="C34" s="35" t="s">
        <v>13</v>
      </c>
      <c r="D34" s="29">
        <v>3000</v>
      </c>
      <c r="E34" s="37"/>
      <c r="F34" s="36"/>
      <c r="G34" s="37"/>
    </row>
    <row r="35" spans="3:14" x14ac:dyDescent="0.25">
      <c r="C35" s="35" t="s">
        <v>14</v>
      </c>
      <c r="D35" s="29">
        <v>29900</v>
      </c>
      <c r="E35" s="37">
        <v>150000</v>
      </c>
      <c r="F35" s="36"/>
      <c r="G35" s="37"/>
    </row>
    <row r="36" spans="3:14" x14ac:dyDescent="0.25">
      <c r="C36" s="42" t="s">
        <v>7</v>
      </c>
      <c r="D36" s="43">
        <f>SUM(D31:D35)</f>
        <v>196584.44699999999</v>
      </c>
      <c r="E36" s="46">
        <f t="shared" ref="E36:G36" si="3">SUM(E31:E35)</f>
        <v>150000</v>
      </c>
      <c r="F36" s="43">
        <f t="shared" si="3"/>
        <v>0</v>
      </c>
      <c r="G36" s="44">
        <f t="shared" si="3"/>
        <v>387616.06480000005</v>
      </c>
    </row>
    <row r="37" spans="3:14" x14ac:dyDescent="0.25">
      <c r="C37" s="2"/>
      <c r="D37" s="36"/>
      <c r="E37" s="37"/>
      <c r="F37" s="36"/>
      <c r="G37" s="37"/>
    </row>
    <row r="38" spans="3:14" x14ac:dyDescent="0.25">
      <c r="C38" s="1" t="s">
        <v>8</v>
      </c>
      <c r="D38" s="36"/>
      <c r="E38" s="37"/>
      <c r="F38" s="36"/>
      <c r="G38" s="37"/>
    </row>
    <row r="39" spans="3:14" x14ac:dyDescent="0.25">
      <c r="C39" s="4" t="s">
        <v>11</v>
      </c>
      <c r="D39" s="36"/>
      <c r="E39" s="37"/>
      <c r="F39" s="36"/>
      <c r="G39" s="37"/>
    </row>
    <row r="40" spans="3:14" x14ac:dyDescent="0.25">
      <c r="C40" s="28" t="s">
        <v>16</v>
      </c>
      <c r="D40" s="29"/>
      <c r="E40" s="37"/>
      <c r="F40" s="36"/>
      <c r="G40" s="30">
        <f>0.2*151736*2.99*1.05*1.05</f>
        <v>100038.78612000002</v>
      </c>
    </row>
    <row r="41" spans="3:14" x14ac:dyDescent="0.25">
      <c r="C41" s="28" t="s">
        <v>17</v>
      </c>
      <c r="D41" s="29"/>
      <c r="E41" s="37"/>
      <c r="F41" s="36"/>
      <c r="G41" s="30">
        <f>0.2*151736*2.99*1.05*1.05</f>
        <v>100038.78612000002</v>
      </c>
    </row>
    <row r="42" spans="3:14" x14ac:dyDescent="0.25">
      <c r="C42" s="28" t="s">
        <v>18</v>
      </c>
      <c r="D42" s="29"/>
      <c r="E42" s="37"/>
      <c r="F42" s="36"/>
      <c r="G42" s="30">
        <f>0.2*117795*2.99*1.05*1.05</f>
        <v>77661.654525000005</v>
      </c>
    </row>
    <row r="43" spans="3:14" x14ac:dyDescent="0.25">
      <c r="C43" s="28" t="s">
        <v>15</v>
      </c>
      <c r="D43" s="29"/>
      <c r="E43" s="37"/>
      <c r="F43" s="36"/>
      <c r="G43" s="30">
        <f>0.05*93380*2.99*1.05*1.05</f>
        <v>15391.241775000004</v>
      </c>
    </row>
    <row r="44" spans="3:14" x14ac:dyDescent="0.25">
      <c r="C44" s="28" t="s">
        <v>19</v>
      </c>
      <c r="D44" s="29">
        <f>1*66406*1.69*1.05*1.05</f>
        <v>123729.31935000001</v>
      </c>
      <c r="E44" s="30"/>
      <c r="F44" s="29"/>
      <c r="G44" s="30">
        <f>1*66406*1.3*1.05*1.05</f>
        <v>95176.3995</v>
      </c>
    </row>
    <row r="45" spans="3:14" ht="16.5" x14ac:dyDescent="0.3">
      <c r="C45" s="28" t="s">
        <v>28</v>
      </c>
      <c r="D45" s="29">
        <f>0.1*60000*1.69*1.05*1.05</f>
        <v>11179.35</v>
      </c>
      <c r="E45" s="30"/>
      <c r="F45" s="29"/>
      <c r="G45" s="30">
        <f>0.1*60000*1.3*1.05</f>
        <v>8190</v>
      </c>
      <c r="H45" s="5"/>
      <c r="I45" s="31"/>
      <c r="J45" s="31"/>
      <c r="K45" s="31"/>
      <c r="L45" s="31"/>
      <c r="M45" s="3"/>
      <c r="N45" s="3"/>
    </row>
    <row r="46" spans="3:14" ht="16.5" x14ac:dyDescent="0.3">
      <c r="C46" s="28" t="s">
        <v>20</v>
      </c>
      <c r="D46" s="6">
        <v>0</v>
      </c>
      <c r="E46" s="30"/>
      <c r="F46" s="40"/>
      <c r="G46" s="30">
        <v>0</v>
      </c>
      <c r="H46" s="5"/>
      <c r="I46" s="31"/>
      <c r="J46" s="31"/>
      <c r="K46" s="31"/>
      <c r="L46" s="31"/>
      <c r="M46" s="3"/>
      <c r="N46" s="3"/>
    </row>
    <row r="47" spans="3:14" x14ac:dyDescent="0.25">
      <c r="C47" s="28" t="s">
        <v>31</v>
      </c>
      <c r="D47" s="29">
        <v>30000</v>
      </c>
      <c r="E47" s="8"/>
      <c r="G47" s="30">
        <v>0</v>
      </c>
    </row>
    <row r="48" spans="3:14" x14ac:dyDescent="0.25">
      <c r="C48" s="32" t="s">
        <v>23</v>
      </c>
      <c r="D48" s="39">
        <f>SUM(D39:D47)</f>
        <v>164908.66935000001</v>
      </c>
      <c r="E48" s="41">
        <f t="shared" ref="E48:G48" si="4">SUM(E39:E47)</f>
        <v>0</v>
      </c>
      <c r="F48" s="39">
        <f t="shared" si="4"/>
        <v>0</v>
      </c>
      <c r="G48" s="38">
        <f t="shared" si="4"/>
        <v>396496.86804000003</v>
      </c>
    </row>
    <row r="49" spans="3:8" x14ac:dyDescent="0.25">
      <c r="C49" s="35" t="s">
        <v>26</v>
      </c>
      <c r="D49" s="29">
        <v>0</v>
      </c>
      <c r="E49" s="30"/>
      <c r="F49" s="36"/>
      <c r="G49" s="37"/>
    </row>
    <row r="50" spans="3:8" x14ac:dyDescent="0.25">
      <c r="C50" s="35" t="s">
        <v>12</v>
      </c>
      <c r="D50" s="29">
        <v>2600</v>
      </c>
      <c r="E50" s="30"/>
      <c r="F50" s="29"/>
      <c r="G50" s="30"/>
    </row>
    <row r="51" spans="3:8" x14ac:dyDescent="0.25">
      <c r="C51" s="35" t="s">
        <v>22</v>
      </c>
      <c r="D51" s="29">
        <v>3000</v>
      </c>
      <c r="E51" s="30"/>
      <c r="F51" s="29"/>
      <c r="G51" s="30"/>
    </row>
    <row r="52" spans="3:8" x14ac:dyDescent="0.25">
      <c r="C52" s="35" t="s">
        <v>14</v>
      </c>
      <c r="D52" s="29">
        <v>0</v>
      </c>
      <c r="E52" s="30">
        <v>150000</v>
      </c>
      <c r="F52" s="29"/>
      <c r="G52" s="30"/>
    </row>
    <row r="53" spans="3:8" x14ac:dyDescent="0.25">
      <c r="C53" s="51" t="s">
        <v>9</v>
      </c>
      <c r="D53" s="52">
        <f>SUM(D48:D52)</f>
        <v>170508.66935000001</v>
      </c>
      <c r="E53" s="54">
        <f t="shared" ref="E53:G53" si="5">SUM(E48:E52)</f>
        <v>150000</v>
      </c>
      <c r="F53" s="52">
        <f t="shared" si="5"/>
        <v>0</v>
      </c>
      <c r="G53" s="53">
        <f t="shared" si="5"/>
        <v>396496.86804000003</v>
      </c>
    </row>
    <row r="54" spans="3:8" ht="15.75" thickBot="1" x14ac:dyDescent="0.3"/>
    <row r="55" spans="3:8" x14ac:dyDescent="0.25">
      <c r="C55" s="9" t="s">
        <v>25</v>
      </c>
      <c r="D55" s="10">
        <f>SUM(D19,D36,D53)</f>
        <v>535199.25635000004</v>
      </c>
      <c r="E55" s="10">
        <f t="shared" ref="E55:G55" si="6">SUM(E19,E36,E53)</f>
        <v>450000</v>
      </c>
      <c r="F55" s="10">
        <f t="shared" si="6"/>
        <v>0</v>
      </c>
      <c r="G55" s="60">
        <f t="shared" si="6"/>
        <v>1161918.7088400002</v>
      </c>
    </row>
    <row r="56" spans="3:8" x14ac:dyDescent="0.25">
      <c r="C56" s="58" t="s">
        <v>24</v>
      </c>
      <c r="D56" s="59">
        <f>100*SUM(D55,E55)/SUM(D55:G55)</f>
        <v>45.884728846876321</v>
      </c>
      <c r="E56" s="59"/>
      <c r="F56" s="59">
        <f>100*SUM(F55,G55)/SUM(D55:G55)</f>
        <v>54.115271153123672</v>
      </c>
      <c r="G56" s="61"/>
    </row>
    <row r="57" spans="3:8" ht="15.75" thickBot="1" x14ac:dyDescent="0.3">
      <c r="C57" s="55" t="s">
        <v>5</v>
      </c>
      <c r="D57" s="56">
        <v>50</v>
      </c>
      <c r="E57" s="56"/>
      <c r="F57" s="56">
        <v>50</v>
      </c>
      <c r="G57" s="57"/>
      <c r="H57" s="17"/>
    </row>
    <row r="59" spans="3:8" x14ac:dyDescent="0.25">
      <c r="C59" s="11"/>
    </row>
    <row r="60" spans="3:8" x14ac:dyDescent="0.25">
      <c r="C60" s="13"/>
      <c r="D60" s="14"/>
      <c r="E60" s="14"/>
      <c r="F60" s="14"/>
      <c r="G60" s="14"/>
    </row>
    <row r="61" spans="3:8" x14ac:dyDescent="0.25">
      <c r="D61" s="15"/>
    </row>
  </sheetData>
  <mergeCells count="2">
    <mergeCell ref="D3:E3"/>
    <mergeCell ref="F3:G3"/>
  </mergeCells>
  <pageMargins left="0.39370078740157483" right="0.39370078740157483" top="0.19685039370078741" bottom="0.19685039370078741" header="0.11811023622047245" footer="0.1181102362204724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BA190XX</vt:lpstr>
    </vt:vector>
  </TitlesOfParts>
  <Company>The University of Queensland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uqgwang</dc:creator>
  <cp:lastModifiedBy>Cathy Yuan</cp:lastModifiedBy>
  <dcterms:created xsi:type="dcterms:W3CDTF">2012-04-17T01:10:37Z</dcterms:created>
  <dcterms:modified xsi:type="dcterms:W3CDTF">2019-06-07T02:00:12Z</dcterms:modified>
</cp:coreProperties>
</file>